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4915" windowHeight="1107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I22" i="1"/>
  <c r="J22" s="1"/>
  <c r="M25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N25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L25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21"/>
  <c r="J21"/>
  <c r="K21" s="1"/>
  <c r="U21"/>
  <c r="G31"/>
  <c r="G32"/>
  <c r="G33"/>
  <c r="G34"/>
  <c r="G35"/>
  <c r="G36"/>
  <c r="G37"/>
  <c r="G38"/>
  <c r="G39"/>
  <c r="G40"/>
  <c r="G41"/>
  <c r="G42"/>
  <c r="G43"/>
  <c r="G44"/>
  <c r="G45"/>
  <c r="G46"/>
  <c r="G22"/>
  <c r="G23"/>
  <c r="G24"/>
  <c r="G25"/>
  <c r="G26"/>
  <c r="G27"/>
  <c r="G28"/>
  <c r="G29"/>
  <c r="G30"/>
  <c r="G21"/>
  <c r="H22" s="1"/>
  <c r="H23" s="1"/>
  <c r="H24" s="1"/>
  <c r="H25" s="1"/>
  <c r="H26" s="1"/>
  <c r="H27" s="1"/>
  <c r="H28" s="1"/>
  <c r="H29" s="1"/>
  <c r="H30" s="1"/>
  <c r="H31" s="1"/>
  <c r="I23" l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J47" s="1"/>
  <c r="H21"/>
  <c r="P46"/>
  <c r="P33"/>
  <c r="P30"/>
  <c r="P31"/>
  <c r="P32"/>
  <c r="P38"/>
  <c r="P34"/>
  <c r="P44"/>
  <c r="P40"/>
  <c r="P36"/>
  <c r="P42"/>
  <c r="P43"/>
  <c r="P39"/>
  <c r="P35"/>
  <c r="P45"/>
  <c r="P41"/>
  <c r="P37"/>
  <c r="P24"/>
  <c r="L22"/>
  <c r="M21"/>
  <c r="P21" s="1"/>
  <c r="C22"/>
  <c r="E21"/>
  <c r="H32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F22"/>
  <c r="U22"/>
  <c r="J46" l="1"/>
  <c r="B21"/>
  <c r="F23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J25"/>
  <c r="M22"/>
  <c r="P22" s="1"/>
  <c r="L23"/>
  <c r="M23" s="1"/>
  <c r="J34"/>
  <c r="J24"/>
  <c r="P25"/>
  <c r="P26"/>
  <c r="J36"/>
  <c r="J30"/>
  <c r="J33"/>
  <c r="J27"/>
  <c r="J43"/>
  <c r="J41"/>
  <c r="J32"/>
  <c r="J26"/>
  <c r="J42"/>
  <c r="J23"/>
  <c r="J39"/>
  <c r="J37"/>
  <c r="J40"/>
  <c r="J45"/>
  <c r="J31"/>
  <c r="J28"/>
  <c r="J44"/>
  <c r="J38"/>
  <c r="J35"/>
  <c r="J29"/>
  <c r="C23"/>
  <c r="K22"/>
  <c r="E22"/>
  <c r="B22" s="1"/>
  <c r="U23"/>
  <c r="F47" l="1"/>
  <c r="P27"/>
  <c r="P23"/>
  <c r="C24"/>
  <c r="K23"/>
  <c r="D22"/>
  <c r="Q22" s="1"/>
  <c r="R22" s="1"/>
  <c r="S22" s="1"/>
  <c r="U24"/>
  <c r="P28" l="1"/>
  <c r="C25"/>
  <c r="K24"/>
  <c r="E24"/>
  <c r="B24" s="1"/>
  <c r="U25"/>
  <c r="D23"/>
  <c r="Q23" s="1"/>
  <c r="E23"/>
  <c r="B23" l="1"/>
  <c r="P29"/>
  <c r="C26"/>
  <c r="K25"/>
  <c r="D24"/>
  <c r="Q24" s="1"/>
  <c r="R24" s="1"/>
  <c r="S24" s="1"/>
  <c r="U26"/>
  <c r="R23" l="1"/>
  <c r="S23" s="1"/>
  <c r="C27"/>
  <c r="K26"/>
  <c r="E26"/>
  <c r="B26" s="1"/>
  <c r="D25"/>
  <c r="Q25" s="1"/>
  <c r="E25"/>
  <c r="U27"/>
  <c r="B25" l="1"/>
  <c r="C28"/>
  <c r="K27"/>
  <c r="D26"/>
  <c r="Q26" s="1"/>
  <c r="R26" s="1"/>
  <c r="S26" s="1"/>
  <c r="U28"/>
  <c r="R25" l="1"/>
  <c r="S25" s="1"/>
  <c r="C29"/>
  <c r="K28"/>
  <c r="E28"/>
  <c r="B28" s="1"/>
  <c r="D27"/>
  <c r="Q27" s="1"/>
  <c r="E27"/>
  <c r="U29"/>
  <c r="B27" l="1"/>
  <c r="C30"/>
  <c r="K29"/>
  <c r="D28"/>
  <c r="Q28" s="1"/>
  <c r="R28" s="1"/>
  <c r="S28" s="1"/>
  <c r="U30"/>
  <c r="R27" l="1"/>
  <c r="S27" s="1"/>
  <c r="C31"/>
  <c r="K30"/>
  <c r="U31"/>
  <c r="E30"/>
  <c r="B30" s="1"/>
  <c r="D29"/>
  <c r="Q29" s="1"/>
  <c r="E29"/>
  <c r="B29" l="1"/>
  <c r="R29" s="1"/>
  <c r="S29" s="1"/>
  <c r="C32"/>
  <c r="K31"/>
  <c r="U32"/>
  <c r="D30"/>
  <c r="Q30" s="1"/>
  <c r="R30" s="1"/>
  <c r="S30" s="1"/>
  <c r="C33" l="1"/>
  <c r="K32"/>
  <c r="U33"/>
  <c r="D31"/>
  <c r="Q31" s="1"/>
  <c r="E31"/>
  <c r="B31" s="1"/>
  <c r="R31" l="1"/>
  <c r="S31" s="1"/>
  <c r="C34"/>
  <c r="K33"/>
  <c r="D32"/>
  <c r="Q32" s="1"/>
  <c r="E32"/>
  <c r="B32" s="1"/>
  <c r="U34"/>
  <c r="R32" l="1"/>
  <c r="S32" s="1"/>
  <c r="C35"/>
  <c r="K34"/>
  <c r="D33"/>
  <c r="Q33" s="1"/>
  <c r="E33"/>
  <c r="B33" s="1"/>
  <c r="U35"/>
  <c r="R33" l="1"/>
  <c r="S33" s="1"/>
  <c r="C36"/>
  <c r="K35"/>
  <c r="U36"/>
  <c r="D34"/>
  <c r="Q34" s="1"/>
  <c r="R34" s="1"/>
  <c r="S34" s="1"/>
  <c r="E34"/>
  <c r="B34" s="1"/>
  <c r="C37" l="1"/>
  <c r="K36"/>
  <c r="U37"/>
  <c r="D35"/>
  <c r="Q35" s="1"/>
  <c r="E35"/>
  <c r="B35" s="1"/>
  <c r="R35" l="1"/>
  <c r="S35" s="1"/>
  <c r="C38"/>
  <c r="K37"/>
  <c r="D36"/>
  <c r="Q36" s="1"/>
  <c r="E36"/>
  <c r="B36" s="1"/>
  <c r="U38"/>
  <c r="R36" l="1"/>
  <c r="S36" s="1"/>
  <c r="C39"/>
  <c r="K38"/>
  <c r="D37"/>
  <c r="Q37" s="1"/>
  <c r="E37"/>
  <c r="B37" s="1"/>
  <c r="U39"/>
  <c r="R37" l="1"/>
  <c r="S37" s="1"/>
  <c r="C40"/>
  <c r="K39"/>
  <c r="U40"/>
  <c r="D38"/>
  <c r="Q38" s="1"/>
  <c r="R38" s="1"/>
  <c r="S38" s="1"/>
  <c r="E38"/>
  <c r="B38" s="1"/>
  <c r="C41" l="1"/>
  <c r="K40"/>
  <c r="E39"/>
  <c r="B39" s="1"/>
  <c r="D39"/>
  <c r="Q39" s="1"/>
  <c r="U41"/>
  <c r="R39" l="1"/>
  <c r="S39" s="1"/>
  <c r="C42"/>
  <c r="K41"/>
  <c r="E40"/>
  <c r="B40" s="1"/>
  <c r="D40"/>
  <c r="Q40" s="1"/>
  <c r="U42"/>
  <c r="R40" l="1"/>
  <c r="S40" s="1"/>
  <c r="C43"/>
  <c r="K42"/>
  <c r="U43"/>
  <c r="E41"/>
  <c r="B41" s="1"/>
  <c r="D41"/>
  <c r="Q41" s="1"/>
  <c r="R41" l="1"/>
  <c r="S41" s="1"/>
  <c r="C44"/>
  <c r="K43"/>
  <c r="E42"/>
  <c r="B42" s="1"/>
  <c r="D42"/>
  <c r="Q42" s="1"/>
  <c r="U44"/>
  <c r="R42" l="1"/>
  <c r="S42" s="1"/>
  <c r="C45"/>
  <c r="K44"/>
  <c r="E43"/>
  <c r="B43" s="1"/>
  <c r="D43"/>
  <c r="Q43" s="1"/>
  <c r="U45"/>
  <c r="R43" l="1"/>
  <c r="S43" s="1"/>
  <c r="C46"/>
  <c r="K45"/>
  <c r="E44"/>
  <c r="B44" s="1"/>
  <c r="D44"/>
  <c r="Q44" s="1"/>
  <c r="U46"/>
  <c r="U47" s="1"/>
  <c r="K46" l="1"/>
  <c r="C47"/>
  <c r="K47" s="1"/>
  <c r="R44"/>
  <c r="S44" s="1"/>
  <c r="D45"/>
  <c r="Q45" s="1"/>
  <c r="E45"/>
  <c r="B45" s="1"/>
  <c r="E46"/>
  <c r="D46"/>
  <c r="Q46" s="1"/>
  <c r="B46" l="1"/>
  <c r="E47"/>
  <c r="R45"/>
  <c r="S45" s="1"/>
  <c r="R46" l="1"/>
  <c r="S46" s="1"/>
  <c r="B47"/>
</calcChain>
</file>

<file path=xl/sharedStrings.xml><?xml version="1.0" encoding="utf-8"?>
<sst xmlns="http://schemas.openxmlformats.org/spreadsheetml/2006/main" count="46" uniqueCount="46">
  <si>
    <t>wachs-tums-faktor:</t>
  </si>
  <si>
    <t>regres-sions-faktor:</t>
  </si>
  <si>
    <t>wo stehen die EV?</t>
  </si>
  <si>
    <t>&gt;80% dediziert auf einem Platz</t>
  </si>
  <si>
    <t>&lt;20% "laternenlader"</t>
  </si>
  <si>
    <t>in D bei 48,5mio ev:</t>
  </si>
  <si>
    <t>ca 40 mio an wallbox</t>
  </si>
  <si>
    <t>ca 9 mio an laterne</t>
  </si>
  <si>
    <t>doppelinstallationen zH/Büro sehr wahrscheinlich</t>
  </si>
  <si>
    <t>daraus ergibt sich der markt bei 100% ev:</t>
  </si>
  <si>
    <t>eu/o.D markt &gt; als D markt</t>
  </si>
  <si>
    <t>ca 1mio laternenlader ges. EU</t>
  </si>
  <si>
    <t>#install LP kummuliert</t>
  </si>
  <si>
    <t>wallboxmarkt in D in mio#</t>
  </si>
  <si>
    <t>zusatzgewinn durch Laternen, 123, Welt, EU ohne D, in €</t>
  </si>
  <si>
    <t>MU in 2023 75%</t>
  </si>
  <si>
    <t>BD in 2023 25%</t>
  </si>
  <si>
    <t>PT in 2023 0%</t>
  </si>
  <si>
    <t>float %</t>
  </si>
  <si>
    <t>kontrolle100%</t>
  </si>
  <si>
    <t>PE</t>
  </si>
  <si>
    <t>Börsen-wert €</t>
  </si>
  <si>
    <t>PT-Anteils-wert in €</t>
  </si>
  <si>
    <t>die 9.95 bleiben konstant und sind in 25 jahren nur noch die hälfte wert</t>
  </si>
  <si>
    <t>der markt ist 2050 gesättigt, abacus hat maximal 1 gutes % marktanteil erhalten</t>
  </si>
  <si>
    <t>15j-mietkauf-umsatz in D @1000€/WB</t>
  </si>
  <si>
    <t>% wachs-tum</t>
  </si>
  <si>
    <t>ev- anteil D in %</t>
  </si>
  <si>
    <t>jnutzungs-umsatz bei 9.95br/mt in € netto</t>
  </si>
  <si>
    <t>abacus WB-marktan-teil in D in %</t>
  </si>
  <si>
    <t>25 J.</t>
  </si>
  <si>
    <t>WB-D, WB-EU/welt, laterne, 123, etc jahres-gewinn in €</t>
  </si>
  <si>
    <t>die nutzungsgebühren zB 9.95€ sind stetige einnahmen nach vertragsablauf, solange sys genutzt wird!</t>
  </si>
  <si>
    <t>Offer: &gt;</t>
  </si>
  <si>
    <t>das 3. pt 5% investment geht an MU/BD ca 1 monat vor grossinvestor zu 20% unter wert</t>
  </si>
  <si>
    <t>das 2. pt 5% investment ist vermittlungs/umsatzabhängig: 1% je 1/2/3/4/5k-LP-rahmenvertrag mit kunden, invest zu jeweils 50% unter wert</t>
  </si>
  <si>
    <t xml:space="preserve">82% von 49mio ev stehen nicht am strassenrand=40mio, minus 20 mio in efh=20 mio ev in mfh. Was nutzen mir deine 8mio wohnungen für ladestationsmöglichkeiten? </t>
  </si>
  <si>
    <t>Es gibt &gt;15 mio büroarbeitsplätze, nicht jeder hat nun nen stellplatz. Aber evtl die hälfte? Machen wir daraus 8mio, plus die 22mio von oben=30mio installationen in D.</t>
  </si>
  <si>
    <t>Die EU hat 450mio einwohner/84mio in d=5,3 mal so viel in EU wie in D=160mio installationen.</t>
  </si>
  <si>
    <t xml:space="preserve">Und davon erhalten wir evtl 1% in D=300k, und 0,25% in EU=300k. </t>
  </si>
  <si>
    <t>ca 160mio wallboxen (30=D, 130=EU)</t>
  </si>
  <si>
    <t xml:space="preserve">1,3ev/efh bei 16mio ehf=21mio ev. Nun mag s noch wenige efh ohne parkplatz geben, sagen wir 20mio ev in efh. 29mio ev also in mfh. </t>
  </si>
  <si>
    <t xml:space="preserve">Mfh haben 20mio ev in garagen, das ist unser mfh potenzial. Plus 16mio wallboxinstallationen in efh, davon aber nur 10%, weil geiz ja so geil ist? Sagen wir 22mio installationen gesamt. </t>
  </si>
  <si>
    <t xml:space="preserve">Nun kommen aber noch die betriebe=doppelinstallationen, weil wahrscheinlich jede bank, versicherungm hotel, büro, etc. seinen kunden, zumindest aber seinen mitarbeitern lademöglichkeiten bieten will. </t>
  </si>
  <si>
    <t>das 1. pt 5% investment 125k€ läuft über 50lp @ 2500€ sofortkauf=125k€ sofort &amp; 50lp@2500€ mietkauf=695€/mt 15j, mit 1000€/lp zurück von nrw, daher nur 25k€ &amp; 1€/Anteil=30k€ für 5%</t>
  </si>
  <si>
    <r>
      <t>Idee fürs Geschäftsmodell: Statt 9.95 verlangt Wohungen Thunnissen 19.95€/Mt und (re)</t>
    </r>
    <r>
      <rPr>
        <b/>
        <sz val="12"/>
        <color rgb="FFFF0000"/>
        <rFont val="Calibri"/>
        <family val="2"/>
        <scheme val="minor"/>
      </rPr>
      <t xml:space="preserve">finanziert allein durch die Nutzer die komplette Anlage inkl Installation! 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</si>
</sst>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1" fontId="0" fillId="0" borderId="0" xfId="0" applyNumberFormat="1"/>
    <xf numFmtId="3" fontId="2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3" fontId="0" fillId="0" borderId="0" xfId="0" applyNumberFormat="1" applyFont="1"/>
    <xf numFmtId="9" fontId="0" fillId="0" borderId="0" xfId="0" applyNumberFormat="1" applyAlignment="1">
      <alignment wrapText="1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left" readingOrder="1"/>
    </xf>
    <xf numFmtId="0" fontId="3" fillId="0" borderId="0" xfId="0" applyFont="1" applyAlignment="1">
      <alignment horizontal="left" wrapText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298978</xdr:colOff>
      <xdr:row>14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392365" cy="2781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8659</xdr:colOff>
      <xdr:row>59</xdr:row>
      <xdr:rowOff>8660</xdr:rowOff>
    </xdr:from>
    <xdr:to>
      <xdr:col>18</xdr:col>
      <xdr:colOff>828497</xdr:colOff>
      <xdr:row>79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59" y="12010160"/>
          <a:ext cx="10197633" cy="38013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1"/>
  <sheetViews>
    <sheetView tabSelected="1" zoomScale="110" zoomScaleNormal="110" workbookViewId="0">
      <selection activeCell="A81" sqref="A81"/>
    </sheetView>
  </sheetViews>
  <sheetFormatPr baseColWidth="10" defaultRowHeight="15"/>
  <cols>
    <col min="1" max="1" width="6" customWidth="1"/>
    <col min="2" max="2" width="13.85546875" customWidth="1"/>
    <col min="3" max="3" width="11.42578125" customWidth="1"/>
    <col min="4" max="4" width="6.85546875" customWidth="1"/>
    <col min="5" max="6" width="12.7109375" customWidth="1"/>
    <col min="7" max="7" width="6.85546875" customWidth="1"/>
    <col min="8" max="8" width="7.140625" customWidth="1"/>
    <col min="9" max="9" width="5.85546875" customWidth="1"/>
    <col min="10" max="10" width="8" customWidth="1"/>
    <col min="11" max="11" width="8.140625" customWidth="1"/>
    <col min="12" max="12" width="6.42578125" customWidth="1"/>
    <col min="13" max="13" width="6" customWidth="1"/>
    <col min="14" max="14" width="5.5703125" customWidth="1"/>
    <col min="15" max="15" width="5" customWidth="1"/>
    <col min="16" max="16" width="5.140625" hidden="1" customWidth="1"/>
    <col min="17" max="17" width="4.140625" customWidth="1"/>
    <col min="18" max="18" width="13.5703125" customWidth="1"/>
    <col min="19" max="19" width="12.42578125" customWidth="1"/>
    <col min="20" max="20" width="11.5703125" customWidth="1"/>
    <col min="21" max="21" width="12.5703125" hidden="1" customWidth="1"/>
  </cols>
  <sheetData>
    <row r="1" spans="1:22">
      <c r="L1" t="s">
        <v>2</v>
      </c>
    </row>
    <row r="2" spans="1:22">
      <c r="L2" t="s">
        <v>3</v>
      </c>
    </row>
    <row r="3" spans="1:22">
      <c r="L3" t="s">
        <v>4</v>
      </c>
    </row>
    <row r="4" spans="1:22">
      <c r="L4" t="s">
        <v>5</v>
      </c>
    </row>
    <row r="5" spans="1:22">
      <c r="L5" t="s">
        <v>6</v>
      </c>
    </row>
    <row r="6" spans="1:22">
      <c r="L6" t="s">
        <v>7</v>
      </c>
    </row>
    <row r="7" spans="1:22">
      <c r="L7" t="s">
        <v>8</v>
      </c>
    </row>
    <row r="8" spans="1:22">
      <c r="L8" t="s">
        <v>10</v>
      </c>
    </row>
    <row r="9" spans="1:22">
      <c r="L9" t="s">
        <v>9</v>
      </c>
    </row>
    <row r="10" spans="1:22">
      <c r="L10" t="s">
        <v>40</v>
      </c>
    </row>
    <row r="11" spans="1:22">
      <c r="L11" t="s">
        <v>11</v>
      </c>
    </row>
    <row r="12" spans="1:22">
      <c r="L12" t="s">
        <v>23</v>
      </c>
    </row>
    <row r="13" spans="1:22">
      <c r="L13" t="s">
        <v>24</v>
      </c>
    </row>
    <row r="14" spans="1:22">
      <c r="L14" s="15" t="s">
        <v>32</v>
      </c>
      <c r="M14" s="15"/>
      <c r="N14" s="15"/>
      <c r="O14" s="15"/>
      <c r="P14" s="15"/>
      <c r="Q14" s="15"/>
      <c r="R14" s="15"/>
      <c r="S14" s="15"/>
    </row>
    <row r="15" spans="1:22">
      <c r="L15" s="15"/>
      <c r="M15" s="15"/>
      <c r="N15" s="15"/>
      <c r="O15" s="15"/>
      <c r="P15" s="15"/>
      <c r="Q15" s="15"/>
      <c r="R15" s="15"/>
      <c r="S15" s="15"/>
      <c r="V15" s="11"/>
    </row>
    <row r="16" spans="1:22">
      <c r="A16" s="4" t="s">
        <v>33</v>
      </c>
      <c r="B16" s="4" t="s">
        <v>44</v>
      </c>
    </row>
    <row r="17" spans="1:21">
      <c r="B17" s="4" t="s">
        <v>35</v>
      </c>
    </row>
    <row r="18" spans="1:21">
      <c r="B18" s="4" t="s">
        <v>34</v>
      </c>
    </row>
    <row r="19" spans="1:21">
      <c r="E19" s="7"/>
      <c r="G19" s="4">
        <v>1.8</v>
      </c>
      <c r="H19" s="4">
        <v>0.97677000000000003</v>
      </c>
    </row>
    <row r="20" spans="1:21" ht="75">
      <c r="B20" s="7" t="s">
        <v>31</v>
      </c>
      <c r="C20" s="7" t="s">
        <v>12</v>
      </c>
      <c r="D20" s="8" t="s">
        <v>26</v>
      </c>
      <c r="E20" s="7" t="s">
        <v>28</v>
      </c>
      <c r="F20" s="7" t="s">
        <v>14</v>
      </c>
      <c r="G20" s="7" t="s">
        <v>0</v>
      </c>
      <c r="H20" s="8" t="s">
        <v>1</v>
      </c>
      <c r="I20" s="7" t="s">
        <v>27</v>
      </c>
      <c r="J20" s="7" t="s">
        <v>13</v>
      </c>
      <c r="K20" s="7" t="s">
        <v>29</v>
      </c>
      <c r="L20" s="8" t="s">
        <v>15</v>
      </c>
      <c r="M20" s="8" t="s">
        <v>16</v>
      </c>
      <c r="N20" s="8" t="s">
        <v>17</v>
      </c>
      <c r="O20" s="7" t="s">
        <v>18</v>
      </c>
      <c r="P20" s="10" t="s">
        <v>19</v>
      </c>
      <c r="Q20" s="8" t="s">
        <v>20</v>
      </c>
      <c r="R20" s="8" t="s">
        <v>21</v>
      </c>
      <c r="S20" s="8" t="s">
        <v>22</v>
      </c>
      <c r="U20" s="7" t="s">
        <v>25</v>
      </c>
    </row>
    <row r="21" spans="1:21">
      <c r="A21">
        <v>2025</v>
      </c>
      <c r="B21" s="2">
        <f t="shared" ref="B21:B46" si="0">U21/15+E21+F21</f>
        <v>126010.59999999999</v>
      </c>
      <c r="C21" s="3">
        <v>555</v>
      </c>
      <c r="E21" s="2">
        <f t="shared" ref="E21:E46" si="1">8.36*C21*12</f>
        <v>55677.599999999991</v>
      </c>
      <c r="F21" s="4">
        <v>33333</v>
      </c>
      <c r="G21">
        <f t="shared" ref="G21:G46" si="2">$G$19</f>
        <v>1.8</v>
      </c>
      <c r="H21">
        <f>G21</f>
        <v>1.8</v>
      </c>
      <c r="I21" s="2">
        <v>2</v>
      </c>
      <c r="J21" s="12">
        <f>I21*48.5/100</f>
        <v>0.97</v>
      </c>
      <c r="K21" s="1">
        <f t="shared" ref="K21:K47" si="3">0.0001*C21/J21</f>
        <v>5.721649484536083E-2</v>
      </c>
      <c r="L21" s="5">
        <f>75*(1-N21*0.01)</f>
        <v>71.25</v>
      </c>
      <c r="M21" s="5">
        <f>100-L21-N21</f>
        <v>23.75</v>
      </c>
      <c r="N21" s="5">
        <v>5</v>
      </c>
      <c r="O21" s="5">
        <v>0</v>
      </c>
      <c r="P21" s="5">
        <f>L21+M21+N21+O21</f>
        <v>100</v>
      </c>
      <c r="Q21" s="4"/>
      <c r="U21" s="9">
        <f>C21*1000</f>
        <v>555000</v>
      </c>
    </row>
    <row r="22" spans="1:21">
      <c r="A22">
        <v>2026</v>
      </c>
      <c r="B22" s="2">
        <f t="shared" si="0"/>
        <v>221550.07277159998</v>
      </c>
      <c r="C22" s="2">
        <f t="shared" ref="C22:C46" si="4">C21*H22</f>
        <v>975.79322999999999</v>
      </c>
      <c r="D22" s="5">
        <f>C22/C21*100-100</f>
        <v>75.818600000000004</v>
      </c>
      <c r="E22" s="2">
        <f t="shared" si="1"/>
        <v>97891.576833600004</v>
      </c>
      <c r="F22" s="2">
        <f>F21*H22</f>
        <v>58605.613938000002</v>
      </c>
      <c r="G22">
        <f t="shared" si="2"/>
        <v>1.8</v>
      </c>
      <c r="H22" s="1">
        <f>G21*$H$19</f>
        <v>1.758186</v>
      </c>
      <c r="I22" s="2">
        <f>I21+3.9</f>
        <v>5.9</v>
      </c>
      <c r="J22" s="12">
        <f t="shared" ref="J22:J47" si="5">I22*48.5/100</f>
        <v>2.8615000000000004</v>
      </c>
      <c r="K22" s="1">
        <f t="shared" si="3"/>
        <v>3.4100759391927311E-2</v>
      </c>
      <c r="L22" s="5">
        <f>L21*(1-N22*0.01)</f>
        <v>64.125</v>
      </c>
      <c r="M22" s="5">
        <f>100-L22-N22</f>
        <v>25.875</v>
      </c>
      <c r="N22" s="5">
        <v>10</v>
      </c>
      <c r="O22" s="5">
        <v>0</v>
      </c>
      <c r="P22" s="5">
        <f>L22+M22+N22+O22</f>
        <v>100</v>
      </c>
      <c r="Q22" s="5">
        <f t="shared" ref="Q22:Q46" si="6">IF(D22&gt;15,D22,15)</f>
        <v>75.818600000000004</v>
      </c>
      <c r="R22" s="2">
        <f t="shared" ref="R22:R46" si="7">Q22*B22</f>
        <v>16797616.347440831</v>
      </c>
      <c r="S22" s="6">
        <f>R22*N22*0.01</f>
        <v>1679761.6347440833</v>
      </c>
      <c r="U22" s="2">
        <f t="shared" ref="U22:U46" si="8">U21*H22</f>
        <v>975793.23</v>
      </c>
    </row>
    <row r="23" spans="1:21">
      <c r="A23">
        <v>2027</v>
      </c>
      <c r="B23" s="2">
        <f t="shared" si="0"/>
        <v>380477.54177801358</v>
      </c>
      <c r="C23" s="2">
        <f t="shared" si="4"/>
        <v>1675.7720039964697</v>
      </c>
      <c r="D23" s="5">
        <f t="shared" ref="D23:D30" si="9">C23/C22*100-100</f>
        <v>71.734333922000019</v>
      </c>
      <c r="E23" s="2">
        <f t="shared" si="1"/>
        <v>168113.44744092584</v>
      </c>
      <c r="F23" s="2">
        <f t="shared" ref="F23:F30" si="10">F22*H23</f>
        <v>100645.96073732311</v>
      </c>
      <c r="G23">
        <f t="shared" si="2"/>
        <v>1.8</v>
      </c>
      <c r="H23" s="1">
        <f t="shared" ref="H23:H46" si="11">H22*$H$19</f>
        <v>1.7173433392200002</v>
      </c>
      <c r="I23" s="2">
        <f t="shared" ref="I23:I46" si="12">I22+3.9</f>
        <v>9.8000000000000007</v>
      </c>
      <c r="J23" s="12">
        <f t="shared" si="5"/>
        <v>4.7530000000000001</v>
      </c>
      <c r="K23" s="1">
        <f t="shared" si="3"/>
        <v>3.5257142941225957E-2</v>
      </c>
      <c r="L23" s="5">
        <f>L22*(1-N23*0.01)</f>
        <v>54.506250000000001</v>
      </c>
      <c r="M23" s="5">
        <f>100-L23-N23</f>
        <v>30.493749999999999</v>
      </c>
      <c r="N23" s="5">
        <v>15</v>
      </c>
      <c r="O23" s="5">
        <v>0</v>
      </c>
      <c r="P23" s="5">
        <f>L23+M23+N23+O23</f>
        <v>100</v>
      </c>
      <c r="Q23" s="5">
        <f t="shared" si="6"/>
        <v>71.734333922000019</v>
      </c>
      <c r="R23" s="2">
        <f t="shared" si="7"/>
        <v>27293303.031725738</v>
      </c>
      <c r="S23" s="6">
        <f t="shared" ref="S23:S46" si="13">R23*N23*0.01</f>
        <v>4093995.4547588606</v>
      </c>
      <c r="U23" s="2">
        <f t="shared" si="8"/>
        <v>1675772.0039964695</v>
      </c>
    </row>
    <row r="24" spans="1:21">
      <c r="A24">
        <v>2028</v>
      </c>
      <c r="B24" s="2">
        <f t="shared" si="0"/>
        <v>638231.84450549784</v>
      </c>
      <c r="C24" s="2">
        <f t="shared" si="4"/>
        <v>2811.0228322105545</v>
      </c>
      <c r="D24" s="5">
        <f t="shared" si="9"/>
        <v>67.744945344991947</v>
      </c>
      <c r="E24" s="2">
        <f t="shared" si="1"/>
        <v>282001.8105273628</v>
      </c>
      <c r="F24" s="2">
        <f t="shared" si="10"/>
        <v>168828.51183076471</v>
      </c>
      <c r="G24">
        <f t="shared" si="2"/>
        <v>1.8</v>
      </c>
      <c r="H24" s="1">
        <f t="shared" si="11"/>
        <v>1.6774494534499196</v>
      </c>
      <c r="I24" s="2">
        <f t="shared" si="12"/>
        <v>13.700000000000001</v>
      </c>
      <c r="J24" s="12">
        <f t="shared" si="5"/>
        <v>6.6445000000000007</v>
      </c>
      <c r="K24" s="1">
        <f t="shared" si="3"/>
        <v>4.230600996629625E-2</v>
      </c>
      <c r="L24" s="5">
        <v>54.506250000000001</v>
      </c>
      <c r="M24" s="5">
        <v>30.493749999999999</v>
      </c>
      <c r="N24" s="5">
        <v>15</v>
      </c>
      <c r="O24" s="5">
        <v>0</v>
      </c>
      <c r="P24" s="5">
        <f t="shared" ref="P24:P46" si="14">L24+M24+N24+O24</f>
        <v>100</v>
      </c>
      <c r="Q24" s="5">
        <f t="shared" si="6"/>
        <v>67.744945344991947</v>
      </c>
      <c r="R24" s="2">
        <f t="shared" si="7"/>
        <v>43236981.423458353</v>
      </c>
      <c r="S24" s="6">
        <f t="shared" si="13"/>
        <v>6485547.2135187536</v>
      </c>
      <c r="U24" s="2">
        <f t="shared" si="8"/>
        <v>2811022.8322105543</v>
      </c>
    </row>
    <row r="25" spans="1:21">
      <c r="A25">
        <v>2029</v>
      </c>
      <c r="B25" s="2">
        <f t="shared" si="0"/>
        <v>1045731.5822075491</v>
      </c>
      <c r="C25" s="2">
        <f t="shared" si="4"/>
        <v>4605.8111629116111</v>
      </c>
      <c r="D25" s="5">
        <f t="shared" si="9"/>
        <v>63.848230264627773</v>
      </c>
      <c r="E25" s="2">
        <f t="shared" si="1"/>
        <v>462054.97586329276</v>
      </c>
      <c r="F25" s="2">
        <f t="shared" si="10"/>
        <v>276622.52881681576</v>
      </c>
      <c r="G25">
        <f t="shared" si="2"/>
        <v>1.8</v>
      </c>
      <c r="H25" s="1">
        <f t="shared" si="11"/>
        <v>1.638482302646278</v>
      </c>
      <c r="I25" s="2">
        <f t="shared" si="12"/>
        <v>17.600000000000001</v>
      </c>
      <c r="J25" s="12">
        <f t="shared" si="5"/>
        <v>8.5359999999999996</v>
      </c>
      <c r="K25" s="1">
        <f t="shared" si="3"/>
        <v>5.3957487850417186E-2</v>
      </c>
      <c r="L25" s="12">
        <f>L24-($O$25%*L24)</f>
        <v>53.961187500000001</v>
      </c>
      <c r="M25" s="12">
        <f>M24-($O$25%*M24)</f>
        <v>30.188812499999997</v>
      </c>
      <c r="N25" s="12">
        <f>N24-($O$25%*N24)</f>
        <v>14.85</v>
      </c>
      <c r="O25" s="5">
        <v>1</v>
      </c>
      <c r="P25" s="5">
        <f t="shared" si="14"/>
        <v>100</v>
      </c>
      <c r="Q25" s="5">
        <f t="shared" si="6"/>
        <v>63.848230264627773</v>
      </c>
      <c r="R25" s="2">
        <f t="shared" si="7"/>
        <v>66768110.855781123</v>
      </c>
      <c r="S25" s="6">
        <f t="shared" si="13"/>
        <v>9915064.462083498</v>
      </c>
      <c r="U25" s="2">
        <f t="shared" si="8"/>
        <v>4605811.1629116107</v>
      </c>
    </row>
    <row r="26" spans="1:21">
      <c r="A26">
        <v>2030</v>
      </c>
      <c r="B26" s="2">
        <f t="shared" si="0"/>
        <v>1673610.1139588815</v>
      </c>
      <c r="C26" s="2">
        <f t="shared" si="4"/>
        <v>7371.2339537084918</v>
      </c>
      <c r="D26" s="5">
        <f t="shared" si="9"/>
        <v>60.042035875580495</v>
      </c>
      <c r="E26" s="2">
        <f t="shared" si="1"/>
        <v>739482.19023603585</v>
      </c>
      <c r="F26" s="2">
        <f t="shared" si="10"/>
        <v>442712.32680894627</v>
      </c>
      <c r="G26">
        <f t="shared" si="2"/>
        <v>1.8</v>
      </c>
      <c r="H26" s="1">
        <f t="shared" si="11"/>
        <v>1.600420358755805</v>
      </c>
      <c r="I26" s="2">
        <f t="shared" si="12"/>
        <v>21.5</v>
      </c>
      <c r="J26" s="12">
        <f t="shared" si="5"/>
        <v>10.4275</v>
      </c>
      <c r="K26" s="1">
        <f t="shared" si="3"/>
        <v>7.069032801446648E-2</v>
      </c>
      <c r="L26" s="12">
        <f t="shared" ref="L26:L46" si="15">L25-(($O26-$O25)%*L25)</f>
        <v>53.961187500000001</v>
      </c>
      <c r="M26" s="12">
        <f t="shared" ref="M26:M46" si="16">M25-(($O26-$O25)%*M25)</f>
        <v>30.188812499999997</v>
      </c>
      <c r="N26" s="12">
        <f t="shared" ref="N26:N46" si="17">N25-(($O26-$O25)%*N25)</f>
        <v>14.85</v>
      </c>
      <c r="O26" s="5">
        <v>1</v>
      </c>
      <c r="P26" s="5">
        <f t="shared" si="14"/>
        <v>100</v>
      </c>
      <c r="Q26" s="5">
        <f t="shared" si="6"/>
        <v>60.042035875580495</v>
      </c>
      <c r="R26" s="2">
        <f t="shared" si="7"/>
        <v>100486958.50405352</v>
      </c>
      <c r="S26" s="6">
        <f t="shared" si="13"/>
        <v>14922313.337851947</v>
      </c>
      <c r="U26" s="2">
        <f t="shared" si="8"/>
        <v>7371233.9537084913</v>
      </c>
    </row>
    <row r="27" spans="1:21">
      <c r="A27">
        <v>2031</v>
      </c>
      <c r="B27" s="2">
        <f t="shared" si="0"/>
        <v>2616258.6155916601</v>
      </c>
      <c r="C27" s="2">
        <f t="shared" si="4"/>
        <v>11523.026885463378</v>
      </c>
      <c r="D27" s="5">
        <f t="shared" si="9"/>
        <v>56.324259382190775</v>
      </c>
      <c r="E27" s="2">
        <f t="shared" si="1"/>
        <v>1155990.0571496859</v>
      </c>
      <c r="F27" s="2">
        <f t="shared" si="10"/>
        <v>692066.7660777492</v>
      </c>
      <c r="G27">
        <f t="shared" si="2"/>
        <v>1.8</v>
      </c>
      <c r="H27" s="1">
        <f t="shared" si="11"/>
        <v>1.5632425938219077</v>
      </c>
      <c r="I27" s="2">
        <f t="shared" si="12"/>
        <v>25.4</v>
      </c>
      <c r="J27" s="12">
        <f t="shared" si="5"/>
        <v>12.318999999999999</v>
      </c>
      <c r="K27" s="1">
        <f t="shared" si="3"/>
        <v>9.3538654805287599E-2</v>
      </c>
      <c r="L27" s="12">
        <f t="shared" si="15"/>
        <v>53.961187500000001</v>
      </c>
      <c r="M27" s="12">
        <f t="shared" si="16"/>
        <v>30.188812499999997</v>
      </c>
      <c r="N27" s="12">
        <f t="shared" si="17"/>
        <v>14.85</v>
      </c>
      <c r="O27" s="5">
        <v>1</v>
      </c>
      <c r="P27" s="5">
        <f t="shared" si="14"/>
        <v>100</v>
      </c>
      <c r="Q27" s="5">
        <f t="shared" si="6"/>
        <v>56.324259382190775</v>
      </c>
      <c r="R27" s="2">
        <f t="shared" si="7"/>
        <v>147358828.875476</v>
      </c>
      <c r="S27" s="6">
        <f t="shared" si="13"/>
        <v>21882786.088008184</v>
      </c>
      <c r="U27" s="2">
        <f t="shared" si="8"/>
        <v>11523026.885463377</v>
      </c>
    </row>
    <row r="28" spans="1:21">
      <c r="A28">
        <v>2032</v>
      </c>
      <c r="B28" s="2">
        <f t="shared" si="0"/>
        <v>3994839.760758453</v>
      </c>
      <c r="C28" s="2">
        <f t="shared" si="4"/>
        <v>17594.837793177252</v>
      </c>
      <c r="D28" s="5">
        <f t="shared" si="9"/>
        <v>52.692846836742461</v>
      </c>
      <c r="E28" s="2">
        <f t="shared" si="1"/>
        <v>1765114.1274115415</v>
      </c>
      <c r="F28" s="2">
        <f t="shared" si="10"/>
        <v>1056736.4471350943</v>
      </c>
      <c r="G28">
        <f t="shared" si="2"/>
        <v>1.8</v>
      </c>
      <c r="H28" s="1">
        <f t="shared" si="11"/>
        <v>1.5269284683674247</v>
      </c>
      <c r="I28" s="2">
        <f t="shared" si="12"/>
        <v>29.299999999999997</v>
      </c>
      <c r="J28" s="12">
        <f t="shared" si="5"/>
        <v>14.2105</v>
      </c>
      <c r="K28" s="1">
        <f t="shared" si="3"/>
        <v>0.1238157544996816</v>
      </c>
      <c r="L28" s="12">
        <f t="shared" si="15"/>
        <v>53.961187500000001</v>
      </c>
      <c r="M28" s="12">
        <f t="shared" si="16"/>
        <v>30.188812499999997</v>
      </c>
      <c r="N28" s="12">
        <f t="shared" si="17"/>
        <v>14.85</v>
      </c>
      <c r="O28" s="5">
        <v>1</v>
      </c>
      <c r="P28" s="5">
        <f t="shared" si="14"/>
        <v>100</v>
      </c>
      <c r="Q28" s="5">
        <f t="shared" si="6"/>
        <v>52.692846836742461</v>
      </c>
      <c r="R28" s="2">
        <f t="shared" si="7"/>
        <v>210499479.65097407</v>
      </c>
      <c r="S28" s="6">
        <f t="shared" si="13"/>
        <v>31259172.728169646</v>
      </c>
      <c r="U28" s="2">
        <f t="shared" si="8"/>
        <v>17594837.793177251</v>
      </c>
    </row>
    <row r="29" spans="1:21">
      <c r="A29">
        <v>2033</v>
      </c>
      <c r="B29" s="2">
        <f t="shared" si="0"/>
        <v>5958135.4005028531</v>
      </c>
      <c r="C29" s="2">
        <f t="shared" si="4"/>
        <v>26241.960178580881</v>
      </c>
      <c r="D29" s="5">
        <f t="shared" si="9"/>
        <v>49.145792004724967</v>
      </c>
      <c r="E29" s="2">
        <f t="shared" si="1"/>
        <v>2632593.4451152338</v>
      </c>
      <c r="F29" s="2">
        <f t="shared" si="10"/>
        <v>1576077.9434822281</v>
      </c>
      <c r="G29">
        <f t="shared" si="2"/>
        <v>1.8</v>
      </c>
      <c r="H29" s="1">
        <f t="shared" si="11"/>
        <v>1.4914579200472495</v>
      </c>
      <c r="I29" s="2">
        <f t="shared" si="12"/>
        <v>33.199999999999996</v>
      </c>
      <c r="J29" s="12">
        <f t="shared" si="5"/>
        <v>16.101999999999997</v>
      </c>
      <c r="K29" s="1">
        <f t="shared" si="3"/>
        <v>0.16297329635188726</v>
      </c>
      <c r="L29" s="12">
        <f t="shared" si="15"/>
        <v>51.80274</v>
      </c>
      <c r="M29" s="12">
        <f t="shared" si="16"/>
        <v>28.981259999999999</v>
      </c>
      <c r="N29" s="12">
        <f t="shared" si="17"/>
        <v>14.256</v>
      </c>
      <c r="O29" s="5">
        <v>5</v>
      </c>
      <c r="P29" s="5">
        <f t="shared" si="14"/>
        <v>100.03999999999999</v>
      </c>
      <c r="Q29" s="5">
        <f t="shared" si="6"/>
        <v>49.145792004724967</v>
      </c>
      <c r="R29" s="2">
        <f t="shared" si="7"/>
        <v>292817283.12910193</v>
      </c>
      <c r="S29" s="6">
        <f t="shared" si="13"/>
        <v>41744031.882884778</v>
      </c>
      <c r="U29" s="2">
        <f t="shared" si="8"/>
        <v>26241960.17858088</v>
      </c>
    </row>
    <row r="30" spans="1:21">
      <c r="A30">
        <v>2034</v>
      </c>
      <c r="B30" s="2">
        <f t="shared" si="0"/>
        <v>8679879.2915693</v>
      </c>
      <c r="C30" s="2">
        <f t="shared" si="4"/>
        <v>38229.585501703521</v>
      </c>
      <c r="D30" s="5">
        <f t="shared" si="9"/>
        <v>45.681135256455178</v>
      </c>
      <c r="E30" s="2">
        <f t="shared" si="1"/>
        <v>3835192.0175308967</v>
      </c>
      <c r="F30" s="2">
        <f t="shared" si="10"/>
        <v>2296048.2405915018</v>
      </c>
      <c r="G30">
        <f t="shared" si="2"/>
        <v>1.8</v>
      </c>
      <c r="H30" s="1">
        <f t="shared" si="11"/>
        <v>1.4568113525645519</v>
      </c>
      <c r="I30" s="2">
        <f t="shared" si="12"/>
        <v>37.099999999999994</v>
      </c>
      <c r="J30" s="12">
        <f t="shared" si="5"/>
        <v>17.993499999999997</v>
      </c>
      <c r="K30" s="1">
        <f t="shared" si="3"/>
        <v>0.21246330898215204</v>
      </c>
      <c r="L30" s="12">
        <f t="shared" si="15"/>
        <v>51.80274</v>
      </c>
      <c r="M30" s="12">
        <f t="shared" si="16"/>
        <v>28.981259999999999</v>
      </c>
      <c r="N30" s="12">
        <f t="shared" si="17"/>
        <v>14.256</v>
      </c>
      <c r="O30" s="5">
        <v>5</v>
      </c>
      <c r="P30" s="5">
        <f t="shared" si="14"/>
        <v>100.03999999999999</v>
      </c>
      <c r="Q30" s="5">
        <f t="shared" si="6"/>
        <v>45.681135256455178</v>
      </c>
      <c r="R30" s="2">
        <f t="shared" si="7"/>
        <v>396506739.92788154</v>
      </c>
      <c r="S30" s="6">
        <f t="shared" si="13"/>
        <v>56526000.844118796</v>
      </c>
      <c r="U30" s="2">
        <f t="shared" si="8"/>
        <v>38229585.501703523</v>
      </c>
    </row>
    <row r="31" spans="1:21">
      <c r="A31">
        <v>2035</v>
      </c>
      <c r="B31" s="2">
        <f t="shared" si="0"/>
        <v>12351204.579219714</v>
      </c>
      <c r="C31" s="2">
        <f t="shared" si="4"/>
        <v>54399.538939318933</v>
      </c>
      <c r="D31" s="5">
        <f t="shared" ref="D31:D46" si="18">C31/C30*100-100</f>
        <v>42.296962484447732</v>
      </c>
      <c r="E31" s="2">
        <f t="shared" si="1"/>
        <v>5457361.7463924745</v>
      </c>
      <c r="F31" s="2">
        <f t="shared" ref="F31:F46" si="19">F30*H31</f>
        <v>3267206.9035393116</v>
      </c>
      <c r="G31">
        <f t="shared" si="2"/>
        <v>1.8</v>
      </c>
      <c r="H31" s="1">
        <f t="shared" si="11"/>
        <v>1.4229696248444774</v>
      </c>
      <c r="I31" s="2">
        <f t="shared" si="12"/>
        <v>40.999999999999993</v>
      </c>
      <c r="J31" s="12">
        <f t="shared" si="5"/>
        <v>19.884999999999994</v>
      </c>
      <c r="K31" s="1">
        <f t="shared" si="3"/>
        <v>0.27357072637324092</v>
      </c>
      <c r="L31" s="12">
        <f t="shared" si="15"/>
        <v>51.80274</v>
      </c>
      <c r="M31" s="12">
        <f t="shared" si="16"/>
        <v>28.981259999999999</v>
      </c>
      <c r="N31" s="12">
        <f t="shared" si="17"/>
        <v>14.256</v>
      </c>
      <c r="O31" s="5">
        <v>5</v>
      </c>
      <c r="P31" s="5">
        <f t="shared" si="14"/>
        <v>100.03999999999999</v>
      </c>
      <c r="Q31" s="5">
        <f t="shared" si="6"/>
        <v>42.296962484447732</v>
      </c>
      <c r="R31" s="2">
        <f t="shared" si="7"/>
        <v>522418436.72499526</v>
      </c>
      <c r="S31" s="6">
        <f t="shared" si="13"/>
        <v>74475972.339515328</v>
      </c>
      <c r="U31" s="2">
        <f t="shared" si="8"/>
        <v>54399538.939318933</v>
      </c>
    </row>
    <row r="32" spans="1:21">
      <c r="A32">
        <v>2036</v>
      </c>
      <c r="B32" s="2">
        <f t="shared" si="0"/>
        <v>17167112.661243178</v>
      </c>
      <c r="C32" s="2">
        <f t="shared" si="4"/>
        <v>75610.682966273991</v>
      </c>
      <c r="D32" s="5">
        <f t="shared" si="18"/>
        <v>38.991404045934019</v>
      </c>
      <c r="E32" s="2">
        <f t="shared" si="1"/>
        <v>7585263.7151766066</v>
      </c>
      <c r="F32" s="2">
        <f t="shared" si="19"/>
        <v>4541136.7483149739</v>
      </c>
      <c r="G32">
        <f t="shared" si="2"/>
        <v>1.8</v>
      </c>
      <c r="H32" s="1">
        <f t="shared" si="11"/>
        <v>1.3899140404593402</v>
      </c>
      <c r="I32" s="2">
        <f t="shared" si="12"/>
        <v>44.899999999999991</v>
      </c>
      <c r="J32" s="12">
        <f t="shared" si="5"/>
        <v>21.776499999999995</v>
      </c>
      <c r="K32" s="1">
        <f t="shared" si="3"/>
        <v>0.3472122837291301</v>
      </c>
      <c r="L32" s="12">
        <f t="shared" si="15"/>
        <v>51.80274</v>
      </c>
      <c r="M32" s="12">
        <f t="shared" si="16"/>
        <v>28.981259999999999</v>
      </c>
      <c r="N32" s="12">
        <f t="shared" si="17"/>
        <v>14.256</v>
      </c>
      <c r="O32" s="5">
        <v>5</v>
      </c>
      <c r="P32" s="5">
        <f t="shared" si="14"/>
        <v>100.03999999999999</v>
      </c>
      <c r="Q32" s="5">
        <f t="shared" si="6"/>
        <v>38.991404045934019</v>
      </c>
      <c r="R32" s="2">
        <f t="shared" si="7"/>
        <v>669369826.07660234</v>
      </c>
      <c r="S32" s="6">
        <f t="shared" si="13"/>
        <v>95425362.40548043</v>
      </c>
      <c r="U32" s="2">
        <f t="shared" si="8"/>
        <v>75610682.966273993</v>
      </c>
    </row>
    <row r="33" spans="1:21">
      <c r="A33">
        <v>2037</v>
      </c>
      <c r="B33" s="2">
        <f t="shared" si="0"/>
        <v>23306524.284290928</v>
      </c>
      <c r="C33" s="2">
        <f t="shared" si="4"/>
        <v>102651.05457621397</v>
      </c>
      <c r="D33" s="5">
        <f t="shared" si="18"/>
        <v>35.76263372994697</v>
      </c>
      <c r="E33" s="2">
        <f t="shared" si="1"/>
        <v>10297953.795085784</v>
      </c>
      <c r="F33" s="2">
        <f t="shared" si="19"/>
        <v>6165166.8507908816</v>
      </c>
      <c r="G33">
        <f t="shared" si="2"/>
        <v>1.8</v>
      </c>
      <c r="H33" s="1">
        <f t="shared" si="11"/>
        <v>1.3576263372994697</v>
      </c>
      <c r="I33" s="2">
        <f t="shared" si="12"/>
        <v>48.79999999999999</v>
      </c>
      <c r="J33" s="12">
        <f t="shared" si="5"/>
        <v>23.667999999999996</v>
      </c>
      <c r="K33" s="1">
        <f t="shared" si="3"/>
        <v>0.43371241581973125</v>
      </c>
      <c r="L33" s="12">
        <f t="shared" si="15"/>
        <v>49.212603000000001</v>
      </c>
      <c r="M33" s="12">
        <f t="shared" si="16"/>
        <v>27.532197</v>
      </c>
      <c r="N33" s="12">
        <f t="shared" si="17"/>
        <v>13.543200000000001</v>
      </c>
      <c r="O33" s="5">
        <v>10</v>
      </c>
      <c r="P33" s="5">
        <f t="shared" si="14"/>
        <v>100.288</v>
      </c>
      <c r="Q33" s="5">
        <f t="shared" si="6"/>
        <v>35.76263372994697</v>
      </c>
      <c r="R33" s="2">
        <f t="shared" si="7"/>
        <v>833502691.49721086</v>
      </c>
      <c r="S33" s="6">
        <f t="shared" si="13"/>
        <v>112882936.51485027</v>
      </c>
      <c r="U33" s="2">
        <f t="shared" si="8"/>
        <v>102651054.57621397</v>
      </c>
    </row>
    <row r="34" spans="1:21">
      <c r="A34">
        <v>2038</v>
      </c>
      <c r="B34" s="2">
        <f t="shared" si="0"/>
        <v>30906517.964904163</v>
      </c>
      <c r="C34" s="2">
        <f t="shared" si="4"/>
        <v>136124.40120530981</v>
      </c>
      <c r="D34" s="5">
        <f t="shared" si="18"/>
        <v>32.608867748400314</v>
      </c>
      <c r="E34" s="2">
        <f t="shared" si="1"/>
        <v>13655999.928916682</v>
      </c>
      <c r="F34" s="2">
        <f t="shared" si="19"/>
        <v>8175557.9556334959</v>
      </c>
      <c r="G34">
        <f t="shared" si="2"/>
        <v>1.8</v>
      </c>
      <c r="H34" s="1">
        <f t="shared" si="11"/>
        <v>1.3260886774840031</v>
      </c>
      <c r="I34" s="2">
        <f t="shared" si="12"/>
        <v>52.699999999999989</v>
      </c>
      <c r="J34" s="12">
        <f t="shared" si="5"/>
        <v>25.559499999999993</v>
      </c>
      <c r="K34" s="1">
        <f t="shared" si="3"/>
        <v>0.5325784980352114</v>
      </c>
      <c r="L34" s="12">
        <f t="shared" si="15"/>
        <v>49.212603000000001</v>
      </c>
      <c r="M34" s="12">
        <f t="shared" si="16"/>
        <v>27.532197</v>
      </c>
      <c r="N34" s="12">
        <f t="shared" si="17"/>
        <v>13.543200000000001</v>
      </c>
      <c r="O34" s="5">
        <v>10</v>
      </c>
      <c r="P34" s="5">
        <f t="shared" si="14"/>
        <v>100.288</v>
      </c>
      <c r="Q34" s="5">
        <f t="shared" si="6"/>
        <v>32.608867748400314</v>
      </c>
      <c r="R34" s="2">
        <f t="shared" si="7"/>
        <v>1007826556.8811183</v>
      </c>
      <c r="S34" s="6">
        <f t="shared" si="13"/>
        <v>136491966.25152364</v>
      </c>
      <c r="U34" s="2">
        <f t="shared" si="8"/>
        <v>136124401.20530981</v>
      </c>
    </row>
    <row r="35" spans="1:21">
      <c r="A35">
        <v>2039</v>
      </c>
      <c r="B35" s="2">
        <f t="shared" si="0"/>
        <v>40032707.01222714</v>
      </c>
      <c r="C35" s="2">
        <f t="shared" si="4"/>
        <v>176319.7095465466</v>
      </c>
      <c r="D35" s="5">
        <f t="shared" si="18"/>
        <v>29.528363750604967</v>
      </c>
      <c r="E35" s="2">
        <f t="shared" si="1"/>
        <v>17688393.261709556</v>
      </c>
      <c r="F35" s="2">
        <f t="shared" si="19"/>
        <v>10589666.447414478</v>
      </c>
      <c r="G35">
        <f t="shared" si="2"/>
        <v>1.8</v>
      </c>
      <c r="H35" s="1">
        <f t="shared" si="11"/>
        <v>1.2952836375060497</v>
      </c>
      <c r="I35" s="2">
        <f t="shared" si="12"/>
        <v>56.599999999999987</v>
      </c>
      <c r="J35" s="12">
        <f t="shared" si="5"/>
        <v>27.450999999999993</v>
      </c>
      <c r="K35" s="1">
        <f t="shared" si="3"/>
        <v>0.64230705455738102</v>
      </c>
      <c r="L35" s="12">
        <f t="shared" si="15"/>
        <v>49.212603000000001</v>
      </c>
      <c r="M35" s="12">
        <f t="shared" si="16"/>
        <v>27.532197</v>
      </c>
      <c r="N35" s="12">
        <f t="shared" si="17"/>
        <v>13.543200000000001</v>
      </c>
      <c r="O35" s="5">
        <v>10</v>
      </c>
      <c r="P35" s="5">
        <f t="shared" si="14"/>
        <v>100.288</v>
      </c>
      <c r="Q35" s="5">
        <f t="shared" si="6"/>
        <v>29.528363750604967</v>
      </c>
      <c r="R35" s="2">
        <f t="shared" si="7"/>
        <v>1182100334.5784371</v>
      </c>
      <c r="S35" s="6">
        <f t="shared" si="13"/>
        <v>160094212.51262689</v>
      </c>
      <c r="U35" s="2">
        <f t="shared" si="8"/>
        <v>176319709.54654658</v>
      </c>
    </row>
    <row r="36" spans="1:21">
      <c r="A36">
        <v>2040</v>
      </c>
      <c r="B36" s="2">
        <f t="shared" si="0"/>
        <v>50649148.666394912</v>
      </c>
      <c r="C36" s="2">
        <f t="shared" si="4"/>
        <v>223078.67361832398</v>
      </c>
      <c r="D36" s="5">
        <f t="shared" si="18"/>
        <v>26.519419860678425</v>
      </c>
      <c r="E36" s="2">
        <f t="shared" si="1"/>
        <v>22379252.537390262</v>
      </c>
      <c r="F36" s="2">
        <f t="shared" si="19"/>
        <v>13397984.554449713</v>
      </c>
      <c r="G36">
        <f t="shared" si="2"/>
        <v>1.8</v>
      </c>
      <c r="H36" s="1">
        <f t="shared" si="11"/>
        <v>1.2651941986067843</v>
      </c>
      <c r="I36" s="2">
        <f t="shared" si="12"/>
        <v>60.499999999999986</v>
      </c>
      <c r="J36" s="12">
        <f t="shared" si="5"/>
        <v>29.34249999999999</v>
      </c>
      <c r="K36" s="1">
        <f t="shared" si="3"/>
        <v>0.76025789765127061</v>
      </c>
      <c r="L36" s="12">
        <f t="shared" si="15"/>
        <v>49.212603000000001</v>
      </c>
      <c r="M36" s="12">
        <f t="shared" si="16"/>
        <v>27.532197</v>
      </c>
      <c r="N36" s="12">
        <f t="shared" si="17"/>
        <v>13.543200000000001</v>
      </c>
      <c r="O36" s="5">
        <v>10</v>
      </c>
      <c r="P36" s="5">
        <f t="shared" si="14"/>
        <v>100.288</v>
      </c>
      <c r="Q36" s="5">
        <f t="shared" si="6"/>
        <v>26.519419860678425</v>
      </c>
      <c r="R36" s="2">
        <f t="shared" si="7"/>
        <v>1343186039.0700474</v>
      </c>
      <c r="S36" s="6">
        <f t="shared" si="13"/>
        <v>181910371.64333466</v>
      </c>
      <c r="U36" s="2">
        <f t="shared" si="8"/>
        <v>223078673.61832398</v>
      </c>
    </row>
    <row r="37" spans="1:21">
      <c r="A37">
        <v>2041</v>
      </c>
      <c r="B37" s="2">
        <f t="shared" si="0"/>
        <v>62592407.216699056</v>
      </c>
      <c r="C37" s="2">
        <f t="shared" si="4"/>
        <v>275681.45858576964</v>
      </c>
      <c r="D37" s="5">
        <f t="shared" si="18"/>
        <v>23.580373737314872</v>
      </c>
      <c r="E37" s="2">
        <f t="shared" si="1"/>
        <v>27656363.925324406</v>
      </c>
      <c r="F37" s="2">
        <f t="shared" si="19"/>
        <v>16557279.385656677</v>
      </c>
      <c r="G37">
        <f t="shared" si="2"/>
        <v>1.8</v>
      </c>
      <c r="H37" s="1">
        <f t="shared" si="11"/>
        <v>1.2358037373731487</v>
      </c>
      <c r="I37" s="2">
        <f t="shared" si="12"/>
        <v>64.399999999999991</v>
      </c>
      <c r="J37" s="12">
        <f t="shared" si="5"/>
        <v>31.233999999999995</v>
      </c>
      <c r="K37" s="1">
        <f t="shared" si="3"/>
        <v>0.88263257535304385</v>
      </c>
      <c r="L37" s="12">
        <f t="shared" si="15"/>
        <v>49.212603000000001</v>
      </c>
      <c r="M37" s="12">
        <f t="shared" si="16"/>
        <v>27.532197</v>
      </c>
      <c r="N37" s="12">
        <f t="shared" si="17"/>
        <v>13.543200000000001</v>
      </c>
      <c r="O37" s="5">
        <v>10</v>
      </c>
      <c r="P37" s="5">
        <f t="shared" si="14"/>
        <v>100.288</v>
      </c>
      <c r="Q37" s="5">
        <f t="shared" si="6"/>
        <v>23.580373737314872</v>
      </c>
      <c r="R37" s="2">
        <f t="shared" si="7"/>
        <v>1475952355.2879684</v>
      </c>
      <c r="S37" s="6">
        <f t="shared" si="13"/>
        <v>199891179.38136014</v>
      </c>
      <c r="U37" s="2">
        <f t="shared" si="8"/>
        <v>275681458.58576959</v>
      </c>
    </row>
    <row r="38" spans="1:21">
      <c r="A38">
        <v>2042</v>
      </c>
      <c r="B38" s="2">
        <f t="shared" si="0"/>
        <v>75555045.41780144</v>
      </c>
      <c r="C38" s="2">
        <f t="shared" si="4"/>
        <v>332773.99049667094</v>
      </c>
      <c r="D38" s="5">
        <f t="shared" si="18"/>
        <v>20.709601655397051</v>
      </c>
      <c r="E38" s="2">
        <f t="shared" si="1"/>
        <v>33383886.726626031</v>
      </c>
      <c r="F38" s="2">
        <f t="shared" si="19"/>
        <v>19986225.991397347</v>
      </c>
      <c r="G38">
        <f t="shared" si="2"/>
        <v>1.8</v>
      </c>
      <c r="H38" s="1">
        <f t="shared" si="11"/>
        <v>1.2070960165539706</v>
      </c>
      <c r="I38" s="2">
        <f t="shared" si="12"/>
        <v>68.3</v>
      </c>
      <c r="J38" s="12">
        <f t="shared" si="5"/>
        <v>33.125499999999995</v>
      </c>
      <c r="K38" s="1">
        <f t="shared" si="3"/>
        <v>1.0045855624720261</v>
      </c>
      <c r="L38" s="12">
        <f t="shared" si="15"/>
        <v>49.212603000000001</v>
      </c>
      <c r="M38" s="12">
        <f t="shared" si="16"/>
        <v>27.532197</v>
      </c>
      <c r="N38" s="12">
        <f t="shared" si="17"/>
        <v>13.543200000000001</v>
      </c>
      <c r="O38" s="5">
        <v>10</v>
      </c>
      <c r="P38" s="5">
        <f t="shared" si="14"/>
        <v>100.288</v>
      </c>
      <c r="Q38" s="5">
        <f t="shared" si="6"/>
        <v>20.709601655397051</v>
      </c>
      <c r="R38" s="2">
        <f t="shared" si="7"/>
        <v>1564714893.6581001</v>
      </c>
      <c r="S38" s="6">
        <f t="shared" si="13"/>
        <v>211912467.47790384</v>
      </c>
      <c r="U38" s="2">
        <f t="shared" si="8"/>
        <v>332773990.4966709</v>
      </c>
    </row>
    <row r="39" spans="1:21">
      <c r="A39">
        <v>2043</v>
      </c>
      <c r="B39" s="2">
        <f t="shared" si="0"/>
        <v>89083567.379530132</v>
      </c>
      <c r="C39" s="2">
        <f t="shared" si="4"/>
        <v>392358.89596303197</v>
      </c>
      <c r="D39" s="5">
        <f t="shared" si="18"/>
        <v>17.905517608942191</v>
      </c>
      <c r="E39" s="2">
        <f t="shared" si="1"/>
        <v>39361444.443011358</v>
      </c>
      <c r="F39" s="2">
        <f t="shared" si="19"/>
        <v>23564863.205649979</v>
      </c>
      <c r="G39">
        <f t="shared" si="2"/>
        <v>1.8</v>
      </c>
      <c r="H39" s="1">
        <f t="shared" si="11"/>
        <v>1.1790551760894219</v>
      </c>
      <c r="I39" s="2">
        <f t="shared" si="12"/>
        <v>72.2</v>
      </c>
      <c r="J39" s="12">
        <f t="shared" si="5"/>
        <v>35.017000000000003</v>
      </c>
      <c r="K39" s="1">
        <f t="shared" si="3"/>
        <v>1.1204811833196218</v>
      </c>
      <c r="L39" s="12">
        <f t="shared" si="15"/>
        <v>49.212603000000001</v>
      </c>
      <c r="M39" s="12">
        <f t="shared" si="16"/>
        <v>27.532197</v>
      </c>
      <c r="N39" s="12">
        <f t="shared" si="17"/>
        <v>13.543200000000001</v>
      </c>
      <c r="O39" s="5">
        <v>10</v>
      </c>
      <c r="P39" s="5">
        <f t="shared" si="14"/>
        <v>100.288</v>
      </c>
      <c r="Q39" s="5">
        <f t="shared" si="6"/>
        <v>17.905517608942191</v>
      </c>
      <c r="R39" s="2">
        <f t="shared" si="7"/>
        <v>1595087384.3815649</v>
      </c>
      <c r="S39" s="6">
        <f t="shared" si="13"/>
        <v>216025874.6415641</v>
      </c>
      <c r="U39" s="2">
        <f t="shared" si="8"/>
        <v>392358895.96303195</v>
      </c>
    </row>
    <row r="40" spans="1:21">
      <c r="A40">
        <v>2044</v>
      </c>
      <c r="B40" s="2">
        <f t="shared" si="0"/>
        <v>102594491.15372747</v>
      </c>
      <c r="C40" s="2">
        <f t="shared" si="4"/>
        <v>451866.292123986</v>
      </c>
      <c r="D40" s="5">
        <f t="shared" si="18"/>
        <v>15.166572434886461</v>
      </c>
      <c r="E40" s="2">
        <f t="shared" si="1"/>
        <v>45331226.425878271</v>
      </c>
      <c r="F40" s="2">
        <f t="shared" si="19"/>
        <v>27138845.252916791</v>
      </c>
      <c r="G40">
        <f t="shared" si="2"/>
        <v>1.8</v>
      </c>
      <c r="H40" s="1">
        <f t="shared" si="11"/>
        <v>1.1516657243488646</v>
      </c>
      <c r="I40" s="2">
        <f t="shared" si="12"/>
        <v>76.100000000000009</v>
      </c>
      <c r="J40" s="12">
        <f t="shared" si="5"/>
        <v>36.908500000000004</v>
      </c>
      <c r="K40" s="1">
        <f t="shared" si="3"/>
        <v>1.2242878798216832</v>
      </c>
      <c r="L40" s="12">
        <f t="shared" si="15"/>
        <v>49.212603000000001</v>
      </c>
      <c r="M40" s="12">
        <f t="shared" si="16"/>
        <v>27.532197</v>
      </c>
      <c r="N40" s="12">
        <f t="shared" si="17"/>
        <v>13.543200000000001</v>
      </c>
      <c r="O40" s="5">
        <v>10</v>
      </c>
      <c r="P40" s="5">
        <f t="shared" si="14"/>
        <v>100.288</v>
      </c>
      <c r="Q40" s="5">
        <f t="shared" si="6"/>
        <v>15.166572434886461</v>
      </c>
      <c r="R40" s="2">
        <f t="shared" si="7"/>
        <v>1556006781.5033259</v>
      </c>
      <c r="S40" s="6">
        <f t="shared" si="13"/>
        <v>210733110.43255845</v>
      </c>
      <c r="U40" s="2">
        <f t="shared" si="8"/>
        <v>451866292.12398601</v>
      </c>
    </row>
    <row r="41" spans="1:21">
      <c r="A41">
        <v>2045</v>
      </c>
      <c r="B41" s="2">
        <f t="shared" si="0"/>
        <v>115409828.5639164</v>
      </c>
      <c r="C41" s="2">
        <f t="shared" si="4"/>
        <v>508310.053701622</v>
      </c>
      <c r="D41" s="5">
        <f t="shared" si="18"/>
        <v>12.491252957224049</v>
      </c>
      <c r="E41" s="2">
        <f t="shared" si="1"/>
        <v>50993664.587346718</v>
      </c>
      <c r="F41" s="2">
        <f t="shared" si="19"/>
        <v>30528827.063128214</v>
      </c>
      <c r="G41">
        <f t="shared" si="2"/>
        <v>1.8</v>
      </c>
      <c r="H41" s="1">
        <f t="shared" si="11"/>
        <v>1.1249125295722404</v>
      </c>
      <c r="I41" s="2">
        <f t="shared" si="12"/>
        <v>80.000000000000014</v>
      </c>
      <c r="J41" s="12">
        <f t="shared" si="5"/>
        <v>38.800000000000011</v>
      </c>
      <c r="K41" s="1">
        <f t="shared" si="3"/>
        <v>1.3100774579938708</v>
      </c>
      <c r="L41" s="12">
        <f t="shared" si="15"/>
        <v>49.212603000000001</v>
      </c>
      <c r="M41" s="12">
        <f t="shared" si="16"/>
        <v>27.532197</v>
      </c>
      <c r="N41" s="12">
        <f t="shared" si="17"/>
        <v>13.543200000000001</v>
      </c>
      <c r="O41" s="5">
        <v>10</v>
      </c>
      <c r="P41" s="5">
        <f t="shared" si="14"/>
        <v>100.288</v>
      </c>
      <c r="Q41" s="5">
        <f t="shared" si="6"/>
        <v>15</v>
      </c>
      <c r="R41" s="2">
        <f t="shared" si="7"/>
        <v>1731147428.458746</v>
      </c>
      <c r="S41" s="6">
        <f t="shared" si="13"/>
        <v>234452758.5310249</v>
      </c>
      <c r="U41" s="2">
        <f t="shared" si="8"/>
        <v>508310053.70162201</v>
      </c>
    </row>
    <row r="42" spans="1:21">
      <c r="A42">
        <v>2046</v>
      </c>
      <c r="B42" s="2">
        <f t="shared" si="0"/>
        <v>126810105.08572206</v>
      </c>
      <c r="C42" s="2">
        <f t="shared" si="4"/>
        <v>558521.33330510091</v>
      </c>
      <c r="D42" s="5">
        <f t="shared" si="18"/>
        <v>9.8780811510277573</v>
      </c>
      <c r="E42" s="2">
        <f t="shared" si="1"/>
        <v>56030860.157167718</v>
      </c>
      <c r="F42" s="2">
        <f t="shared" si="19"/>
        <v>33544489.374880936</v>
      </c>
      <c r="G42">
        <f t="shared" si="2"/>
        <v>1.8</v>
      </c>
      <c r="H42" s="1">
        <f t="shared" si="11"/>
        <v>1.0987808115102773</v>
      </c>
      <c r="I42" s="2">
        <f t="shared" si="12"/>
        <v>83.90000000000002</v>
      </c>
      <c r="J42" s="12">
        <f t="shared" si="5"/>
        <v>40.691500000000012</v>
      </c>
      <c r="K42" s="1">
        <f t="shared" si="3"/>
        <v>1.3725749439197394</v>
      </c>
      <c r="L42" s="12">
        <f t="shared" si="15"/>
        <v>49.212603000000001</v>
      </c>
      <c r="M42" s="12">
        <f t="shared" si="16"/>
        <v>27.532197</v>
      </c>
      <c r="N42" s="12">
        <f t="shared" si="17"/>
        <v>13.543200000000001</v>
      </c>
      <c r="O42" s="5">
        <v>10</v>
      </c>
      <c r="P42" s="5">
        <f t="shared" si="14"/>
        <v>100.288</v>
      </c>
      <c r="Q42" s="5">
        <f t="shared" si="6"/>
        <v>15</v>
      </c>
      <c r="R42" s="2">
        <f t="shared" si="7"/>
        <v>1902151576.285831</v>
      </c>
      <c r="S42" s="6">
        <f t="shared" si="13"/>
        <v>257612192.27954265</v>
      </c>
      <c r="U42" s="2">
        <f t="shared" si="8"/>
        <v>558521333.30510092</v>
      </c>
    </row>
    <row r="43" spans="1:21">
      <c r="A43">
        <v>2047</v>
      </c>
      <c r="B43" s="2">
        <f t="shared" si="0"/>
        <v>136099723.04245603</v>
      </c>
      <c r="C43" s="2">
        <f t="shared" si="4"/>
        <v>599436.44652563438</v>
      </c>
      <c r="D43" s="5">
        <f t="shared" si="18"/>
        <v>7.3256133258893641</v>
      </c>
      <c r="E43" s="2">
        <f t="shared" si="1"/>
        <v>60135464.315451637</v>
      </c>
      <c r="F43" s="2">
        <f t="shared" si="19"/>
        <v>36001828.958628759</v>
      </c>
      <c r="G43">
        <f t="shared" si="2"/>
        <v>1.8</v>
      </c>
      <c r="H43" s="1">
        <f t="shared" si="11"/>
        <v>1.0732561332588937</v>
      </c>
      <c r="I43" s="2">
        <f t="shared" si="12"/>
        <v>87.800000000000026</v>
      </c>
      <c r="J43" s="12">
        <f t="shared" si="5"/>
        <v>42.583000000000013</v>
      </c>
      <c r="K43" s="1">
        <f t="shared" si="3"/>
        <v>1.4076895627965016</v>
      </c>
      <c r="L43" s="12">
        <f t="shared" si="15"/>
        <v>49.212603000000001</v>
      </c>
      <c r="M43" s="12">
        <f t="shared" si="16"/>
        <v>27.532197</v>
      </c>
      <c r="N43" s="12">
        <f t="shared" si="17"/>
        <v>13.543200000000001</v>
      </c>
      <c r="O43" s="5">
        <v>10</v>
      </c>
      <c r="P43" s="5">
        <f t="shared" si="14"/>
        <v>100.288</v>
      </c>
      <c r="Q43" s="5">
        <f t="shared" si="6"/>
        <v>15</v>
      </c>
      <c r="R43" s="2">
        <f t="shared" si="7"/>
        <v>2041495845.6368403</v>
      </c>
      <c r="S43" s="6">
        <f t="shared" si="13"/>
        <v>276483865.36628854</v>
      </c>
      <c r="U43" s="2">
        <f t="shared" si="8"/>
        <v>599436446.52563441</v>
      </c>
    </row>
    <row r="44" spans="1:21">
      <c r="A44">
        <v>2048</v>
      </c>
      <c r="B44" s="2">
        <f t="shared" si="0"/>
        <v>142676659.58450645</v>
      </c>
      <c r="C44" s="2">
        <f t="shared" si="4"/>
        <v>628403.84911587671</v>
      </c>
      <c r="D44" s="5">
        <f t="shared" si="18"/>
        <v>4.8324393283289453</v>
      </c>
      <c r="E44" s="2">
        <f t="shared" si="1"/>
        <v>63041474.143304743</v>
      </c>
      <c r="F44" s="2">
        <f t="shared" si="19"/>
        <v>37741595.50014326</v>
      </c>
      <c r="G44">
        <f t="shared" si="2"/>
        <v>1.8</v>
      </c>
      <c r="H44" s="1">
        <f t="shared" si="11"/>
        <v>1.0483243932832895</v>
      </c>
      <c r="I44" s="2">
        <f t="shared" si="12"/>
        <v>91.700000000000031</v>
      </c>
      <c r="J44" s="12">
        <f t="shared" si="5"/>
        <v>44.474500000000013</v>
      </c>
      <c r="K44" s="1">
        <f t="shared" si="3"/>
        <v>1.4129531509423976</v>
      </c>
      <c r="L44" s="12">
        <f t="shared" si="15"/>
        <v>49.212603000000001</v>
      </c>
      <c r="M44" s="12">
        <f t="shared" si="16"/>
        <v>27.532197</v>
      </c>
      <c r="N44" s="12">
        <f t="shared" si="17"/>
        <v>13.543200000000001</v>
      </c>
      <c r="O44" s="5">
        <v>10</v>
      </c>
      <c r="P44" s="5">
        <f t="shared" si="14"/>
        <v>100.288</v>
      </c>
      <c r="Q44" s="5">
        <f t="shared" si="6"/>
        <v>15</v>
      </c>
      <c r="R44" s="2">
        <f t="shared" si="7"/>
        <v>2140149893.7675967</v>
      </c>
      <c r="S44" s="6">
        <f t="shared" si="13"/>
        <v>289844780.41273314</v>
      </c>
      <c r="U44" s="2">
        <f t="shared" si="8"/>
        <v>628403849.11587667</v>
      </c>
    </row>
    <row r="45" spans="1:21">
      <c r="A45">
        <v>2049</v>
      </c>
      <c r="B45" s="2">
        <f t="shared" si="0"/>
        <v>146096878.44774127</v>
      </c>
      <c r="C45" s="2">
        <f t="shared" si="4"/>
        <v>643467.83158318757</v>
      </c>
      <c r="D45" s="5">
        <f t="shared" si="18"/>
        <v>2.3971817627318757</v>
      </c>
      <c r="E45" s="2">
        <f t="shared" si="1"/>
        <v>64552692.864425376</v>
      </c>
      <c r="F45" s="2">
        <f t="shared" si="19"/>
        <v>38646330.144436724</v>
      </c>
      <c r="G45">
        <f t="shared" si="2"/>
        <v>1.8</v>
      </c>
      <c r="H45" s="1">
        <f t="shared" si="11"/>
        <v>1.0239718176273187</v>
      </c>
      <c r="I45" s="2">
        <f t="shared" si="12"/>
        <v>95.600000000000037</v>
      </c>
      <c r="J45" s="12">
        <f t="shared" si="5"/>
        <v>46.366000000000021</v>
      </c>
      <c r="K45" s="1">
        <f t="shared" si="3"/>
        <v>1.3878010429693899</v>
      </c>
      <c r="L45" s="12">
        <f t="shared" si="15"/>
        <v>49.212603000000001</v>
      </c>
      <c r="M45" s="12">
        <f t="shared" si="16"/>
        <v>27.532197</v>
      </c>
      <c r="N45" s="12">
        <f t="shared" si="17"/>
        <v>13.543200000000001</v>
      </c>
      <c r="O45" s="5">
        <v>10</v>
      </c>
      <c r="P45" s="5">
        <f t="shared" si="14"/>
        <v>100.288</v>
      </c>
      <c r="Q45" s="5">
        <f t="shared" si="6"/>
        <v>15</v>
      </c>
      <c r="R45" s="2">
        <f t="shared" si="7"/>
        <v>2191453176.7161188</v>
      </c>
      <c r="S45" s="6">
        <f t="shared" si="13"/>
        <v>296792886.62901741</v>
      </c>
      <c r="U45" s="2">
        <f t="shared" si="8"/>
        <v>643467831.58318758</v>
      </c>
    </row>
    <row r="46" spans="1:21">
      <c r="A46">
        <v>2050</v>
      </c>
      <c r="B46" s="2">
        <f t="shared" si="0"/>
        <v>146123899.40199345</v>
      </c>
      <c r="C46" s="2">
        <f t="shared" si="4"/>
        <v>643586.8424410834</v>
      </c>
      <c r="D46" s="5">
        <f t="shared" si="18"/>
        <v>1.849523038362122E-2</v>
      </c>
      <c r="E46" s="2">
        <f t="shared" si="1"/>
        <v>64564632.033689484</v>
      </c>
      <c r="F46" s="2">
        <f t="shared" si="19"/>
        <v>38653477.872231752</v>
      </c>
      <c r="G46">
        <f t="shared" si="2"/>
        <v>1.8</v>
      </c>
      <c r="H46" s="1">
        <f t="shared" si="11"/>
        <v>1.0001849523038362</v>
      </c>
      <c r="I46" s="2">
        <f t="shared" si="12"/>
        <v>99.500000000000043</v>
      </c>
      <c r="J46" s="12">
        <f t="shared" si="5"/>
        <v>48.257500000000022</v>
      </c>
      <c r="K46" s="1">
        <f t="shared" si="3"/>
        <v>1.3336514374782846</v>
      </c>
      <c r="L46" s="12">
        <f t="shared" si="15"/>
        <v>49.212603000000001</v>
      </c>
      <c r="M46" s="12">
        <f t="shared" si="16"/>
        <v>27.532197</v>
      </c>
      <c r="N46" s="12">
        <f t="shared" si="17"/>
        <v>13.543200000000001</v>
      </c>
      <c r="O46" s="5">
        <v>10</v>
      </c>
      <c r="P46" s="5">
        <f t="shared" si="14"/>
        <v>100.288</v>
      </c>
      <c r="Q46" s="5">
        <f t="shared" si="6"/>
        <v>15</v>
      </c>
      <c r="R46" s="2">
        <f t="shared" si="7"/>
        <v>2191858491.029902</v>
      </c>
      <c r="S46" s="6">
        <f t="shared" si="13"/>
        <v>296847779.15716171</v>
      </c>
      <c r="U46" s="2">
        <f t="shared" si="8"/>
        <v>643586842.44108331</v>
      </c>
    </row>
    <row r="47" spans="1:21">
      <c r="A47" s="13" t="s">
        <v>30</v>
      </c>
      <c r="B47" s="2">
        <f>SUM(B21:B46)</f>
        <v>1342790545.2860177</v>
      </c>
      <c r="C47" s="2">
        <f>C46</f>
        <v>643586.8424410834</v>
      </c>
      <c r="D47" s="5"/>
      <c r="E47" s="2">
        <f>SUM(E21:E46)</f>
        <v>593310045.85500574</v>
      </c>
      <c r="F47" s="2">
        <f>SUM(F21:F46)</f>
        <v>355202159.54863167</v>
      </c>
      <c r="I47" s="2">
        <f>I46</f>
        <v>99.500000000000043</v>
      </c>
      <c r="J47" s="12">
        <f t="shared" si="5"/>
        <v>48.257500000000022</v>
      </c>
      <c r="K47" s="1">
        <f t="shared" si="3"/>
        <v>1.3336514374782846</v>
      </c>
      <c r="U47" s="2">
        <f>SUM(U21:U46)</f>
        <v>5914175098.2357016</v>
      </c>
    </row>
    <row r="48" spans="1:21">
      <c r="B48" s="2"/>
      <c r="C48" s="2"/>
      <c r="D48" s="5"/>
      <c r="E48" s="2"/>
      <c r="F48" s="2"/>
      <c r="G48" s="2"/>
    </row>
    <row r="49" spans="1:7">
      <c r="B49" s="2"/>
      <c r="C49" s="2"/>
      <c r="D49" s="5"/>
      <c r="E49" s="2"/>
      <c r="F49" s="2"/>
      <c r="G49" s="2"/>
    </row>
    <row r="50" spans="1:7">
      <c r="B50" s="2"/>
      <c r="C50" s="2"/>
      <c r="D50" s="5"/>
      <c r="E50" s="2"/>
      <c r="F50" s="2"/>
      <c r="G50" s="2"/>
    </row>
    <row r="51" spans="1:7">
      <c r="B51" s="2"/>
      <c r="C51" s="2"/>
      <c r="D51" s="5"/>
      <c r="E51" s="2"/>
      <c r="F51" s="2"/>
      <c r="G51" s="2"/>
    </row>
    <row r="52" spans="1:7">
      <c r="A52" s="14" t="s">
        <v>41</v>
      </c>
      <c r="B52" s="2"/>
      <c r="C52" s="2"/>
      <c r="D52" s="5"/>
      <c r="E52" s="2"/>
      <c r="F52" s="2"/>
      <c r="G52" s="2"/>
    </row>
    <row r="53" spans="1:7">
      <c r="A53" s="14" t="s">
        <v>36</v>
      </c>
      <c r="B53" s="2"/>
      <c r="C53" s="2"/>
      <c r="D53" s="5"/>
      <c r="E53" s="2"/>
      <c r="F53" s="2"/>
      <c r="G53" s="2"/>
    </row>
    <row r="54" spans="1:7">
      <c r="A54" s="14" t="s">
        <v>42</v>
      </c>
      <c r="B54" s="2"/>
      <c r="C54" s="2"/>
      <c r="D54" s="5"/>
      <c r="E54" s="2"/>
      <c r="F54" s="2"/>
      <c r="G54" s="2"/>
    </row>
    <row r="55" spans="1:7">
      <c r="A55" s="14" t="s">
        <v>43</v>
      </c>
      <c r="B55" s="2"/>
      <c r="C55" s="2"/>
      <c r="D55" s="5"/>
      <c r="E55" s="2"/>
      <c r="F55" s="2"/>
      <c r="G55" s="2"/>
    </row>
    <row r="56" spans="1:7">
      <c r="A56" s="14" t="s">
        <v>37</v>
      </c>
      <c r="B56" s="2"/>
      <c r="C56" s="2"/>
      <c r="D56" s="5"/>
      <c r="E56" s="2"/>
      <c r="F56" s="2"/>
      <c r="G56" s="2"/>
    </row>
    <row r="57" spans="1:7">
      <c r="A57" s="14" t="s">
        <v>38</v>
      </c>
      <c r="B57" s="2"/>
      <c r="C57" s="2"/>
      <c r="D57" s="5"/>
      <c r="E57" s="2"/>
      <c r="F57" s="2"/>
      <c r="G57" s="2"/>
    </row>
    <row r="58" spans="1:7">
      <c r="A58" s="14" t="s">
        <v>39</v>
      </c>
    </row>
    <row r="81" spans="1:1" ht="15.75">
      <c r="A81" s="16" t="s">
        <v>45</v>
      </c>
    </row>
  </sheetData>
  <mergeCells count="1">
    <mergeCell ref="L14:S15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Ulrich</dc:creator>
  <cp:lastModifiedBy>Markus Ulrich</cp:lastModifiedBy>
  <dcterms:created xsi:type="dcterms:W3CDTF">2024-03-08T22:28:08Z</dcterms:created>
  <dcterms:modified xsi:type="dcterms:W3CDTF">2024-04-04T15:13:06Z</dcterms:modified>
</cp:coreProperties>
</file>